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10" activeTab="2"/>
  </bookViews>
  <sheets>
    <sheet name="Enveloppe" sheetId="1" r:id="rId1"/>
    <sheet name="Foyer" sheetId="2" r:id="rId2"/>
    <sheet name="Fond" sheetId="3" r:id="rId3"/>
    <sheet name="pl foyer" sheetId="4" r:id="rId4"/>
    <sheet name="Boite à F." sheetId="5" r:id="rId5"/>
    <sheet name="piquage TP" sheetId="6" r:id="rId6"/>
    <sheet name="piquage isolé 33,4" sheetId="7" r:id="rId7"/>
  </sheets>
  <definedNames>
    <definedName name="_xlnm.Print_Area" localSheetId="4">'Boite à F.'!$A$1:$E$20</definedName>
    <definedName name="_xlnm.Print_Area" localSheetId="0">'Enveloppe'!$A$1:$E$17</definedName>
    <definedName name="_xlnm.Print_Area" localSheetId="2">'Fond'!$A$1:$E$20</definedName>
    <definedName name="_xlnm.Print_Area" localSheetId="1">'Foyer'!$A$1:$E$28</definedName>
    <definedName name="_xlnm.Print_Area" localSheetId="6">'piquage isolé 33,4'!$A$1:$E$35</definedName>
    <definedName name="_xlnm.Print_Area" localSheetId="5">'piquage TP'!$A$1:$E$35</definedName>
    <definedName name="_xlnm.Print_Area" localSheetId="3">'pl foyer'!$A$1:$E$20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C12" authorId="0">
      <text>
        <r>
          <rPr>
            <sz val="8"/>
            <rFont val="Tahoma"/>
            <family val="2"/>
          </rPr>
          <t>lame d'eau
Dominique Blaise 15/10/2009</t>
        </r>
      </text>
    </comment>
    <comment ref="C13" authorId="0">
      <text>
        <r>
          <rPr>
            <sz val="8"/>
            <rFont val="Tahoma"/>
            <family val="2"/>
          </rPr>
          <t>voir Analyse1.doc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C12" authorId="0">
      <text>
        <r>
          <rPr>
            <sz val="8"/>
            <rFont val="Tahoma"/>
            <family val="2"/>
          </rPr>
          <t>12/10/2009 info de Domique Blaise
voir analyse1.doc</t>
        </r>
      </text>
    </comment>
    <comment ref="C13" authorId="0">
      <text>
        <r>
          <rPr>
            <sz val="8"/>
            <rFont val="Tahoma"/>
            <family val="2"/>
          </rPr>
          <t>voir Analyse1.doc</t>
        </r>
      </text>
    </comment>
  </commentList>
</comments>
</file>

<file path=xl/sharedStrings.xml><?xml version="1.0" encoding="utf-8"?>
<sst xmlns="http://schemas.openxmlformats.org/spreadsheetml/2006/main" count="459" uniqueCount="158">
  <si>
    <t>Pression de calcul</t>
  </si>
  <si>
    <t>Valeur Rm/2,5</t>
  </si>
  <si>
    <t>Diamètre extérieur de l'enveloppe cylindrique</t>
  </si>
  <si>
    <t>Surépaisseur de corrosion</t>
  </si>
  <si>
    <t xml:space="preserve">Epaisseur choisie </t>
  </si>
  <si>
    <t>p</t>
  </si>
  <si>
    <r>
      <t>N/mm</t>
    </r>
    <r>
      <rPr>
        <vertAlign val="superscript"/>
        <sz val="10"/>
        <rFont val="Arial"/>
        <family val="2"/>
      </rPr>
      <t>2</t>
    </r>
  </si>
  <si>
    <t>Matière</t>
  </si>
  <si>
    <t>Valeur Rp 0,2/1,5</t>
  </si>
  <si>
    <t>Coéfficient de soudure du générateur</t>
  </si>
  <si>
    <t>Rayon intérieur de l'enveloppe cylindrique = De/2-e</t>
  </si>
  <si>
    <t>t</t>
  </si>
  <si>
    <t>Rm</t>
  </si>
  <si>
    <t>Rp0,2</t>
  </si>
  <si>
    <t>f</t>
  </si>
  <si>
    <t>s</t>
  </si>
  <si>
    <t>De</t>
  </si>
  <si>
    <t>e</t>
  </si>
  <si>
    <t>Ri</t>
  </si>
  <si>
    <t>c</t>
  </si>
  <si>
    <t>Température de calcul</t>
  </si>
  <si>
    <t>Résistance minimale à la traction à la température ambiante</t>
  </si>
  <si>
    <t>Limite élastique minimale à la température de calcul</t>
  </si>
  <si>
    <t>Epaisseur de l'enveloppe cylindrique</t>
  </si>
  <si>
    <t>Epaisseur calculée de l'enveloppe cylindrique = (p*Ri)/(f*s-0,5*p)+c</t>
  </si>
  <si>
    <t>mm</t>
  </si>
  <si>
    <t>Calcul de l'épaisseur de l'enveloppe</t>
  </si>
  <si>
    <t>Contrainte nominale de calcul, valeur la plus faible de Pm/2,5 et deRp 0,2/1,5</t>
  </si>
  <si>
    <t>Contrainte nominale de calcul, valeur la plus faible de Rm/2,5 et deRp 0,2/1,5</t>
  </si>
  <si>
    <t>Suréppaisseur de corrosion</t>
  </si>
  <si>
    <t>C</t>
  </si>
  <si>
    <t>et</t>
  </si>
  <si>
    <t>Code de construction de générateur de vapeur NF 32-104 (sept 1985)</t>
  </si>
  <si>
    <t>Code de construction de générateur de vapeur NF 32-103 ( juin 1985)</t>
  </si>
  <si>
    <t>Cercle principal - fonction de la distance entre les points d'ancrage</t>
  </si>
  <si>
    <t>Coefficient dépendant de la nature des points d'ancrage</t>
  </si>
  <si>
    <t>Coefficient correcteur dépendant de la position relative  des points d'ancrage</t>
  </si>
  <si>
    <t>y</t>
  </si>
  <si>
    <t>b</t>
  </si>
  <si>
    <t>C°</t>
  </si>
  <si>
    <t>foyer</t>
  </si>
  <si>
    <t>Epaisseur calculée de la plaque tubulaire (C*b*y*Racine(p/f))+c</t>
  </si>
  <si>
    <t>Calcul de l'épaisseur de la plaque foyère</t>
  </si>
  <si>
    <t>Observations</t>
  </si>
  <si>
    <t>unités</t>
  </si>
  <si>
    <t>valeur</t>
  </si>
  <si>
    <t>symb</t>
  </si>
  <si>
    <t>désignation</t>
  </si>
  <si>
    <t>Calcul de l'épaisseur de la plaque boite à fumée</t>
  </si>
  <si>
    <t>Module d'élasticité du métal à la température de calcul</t>
  </si>
  <si>
    <t>E</t>
  </si>
  <si>
    <t>Diamètre extérieur du tube de foyer</t>
  </si>
  <si>
    <t>Dm</t>
  </si>
  <si>
    <t>Diamètre moyen du tube de foyer</t>
  </si>
  <si>
    <t>Epaisseur du tube de foyer</t>
  </si>
  <si>
    <t>Ovalisation du tube de foyer</t>
  </si>
  <si>
    <t>U</t>
  </si>
  <si>
    <t>%</t>
  </si>
  <si>
    <t>L</t>
  </si>
  <si>
    <t>x1</t>
  </si>
  <si>
    <t>Coefficient de sécurité x1</t>
  </si>
  <si>
    <t>Coefficient de sécurité x2</t>
  </si>
  <si>
    <t>x2</t>
  </si>
  <si>
    <t>B</t>
  </si>
  <si>
    <t>Coefficient =(p*Dm*x1)/(2*Rp0,2*(1+0,1*Dm/L))</t>
  </si>
  <si>
    <t>Calcul intermédiaire 1 = 0,12*Dm*U</t>
  </si>
  <si>
    <t>Calcul intermédiaire 2 = (1+5*Dm/L)*B</t>
  </si>
  <si>
    <t>Epaisseur calculée 1 du tube de foyer =(B/2)*(1+racine(1+Ci1/Ci2))+c</t>
  </si>
  <si>
    <t>Calcul intermédiaire 3 = p*x2*L</t>
  </si>
  <si>
    <t>Calcul intermédiaire 4 =  2,6*E</t>
  </si>
  <si>
    <t>Epaisseur calculée 2 du tube de foyer =(Dm^0,6)*(Ci3/Ci4)^0,4+c</t>
  </si>
  <si>
    <t>Ci1</t>
  </si>
  <si>
    <t>Ci2</t>
  </si>
  <si>
    <t>Ci3</t>
  </si>
  <si>
    <t>Ci4</t>
  </si>
  <si>
    <t>ok</t>
  </si>
  <si>
    <t>et1</t>
  </si>
  <si>
    <t>et2</t>
  </si>
  <si>
    <t>Contrainte nominale de calcul, valeur la plus faible de Rm/2,5 et de Rp0,2/1,5</t>
  </si>
  <si>
    <t>Code de construction de générateurs de vapeur NF E 32-103 (sept. 1978)</t>
  </si>
  <si>
    <t>Limite élastique à la température de la virole</t>
  </si>
  <si>
    <t>Limite élastique à la température de calcul de la tubulure</t>
  </si>
  <si>
    <t>Contrainte nominale de calcul du fond bombé = Rp0,2/1,5</t>
  </si>
  <si>
    <t>f1</t>
  </si>
  <si>
    <t>eo</t>
  </si>
  <si>
    <t>en</t>
  </si>
  <si>
    <t>Epaisseur minimale de la paroi de la virole = (p*Ri)/(f-0,5*p)</t>
  </si>
  <si>
    <t>Epaisseur nominale de la paroi de la virole</t>
  </si>
  <si>
    <t>Diamètre moyen de la virole = 2*Ri+en</t>
  </si>
  <si>
    <t>Limite de la zone de compensation = racine(Dm*en)</t>
  </si>
  <si>
    <t>Diamètre extérieur de la tubulure</t>
  </si>
  <si>
    <t>di</t>
  </si>
  <si>
    <t>eto</t>
  </si>
  <si>
    <t>Diamètre intérieur de la tubulure</t>
  </si>
  <si>
    <t>dm</t>
  </si>
  <si>
    <t>Diamètre moyen de la tubulure =di+et</t>
  </si>
  <si>
    <t>Diamètre extérieur de l'anneau de renfort</t>
  </si>
  <si>
    <t>er</t>
  </si>
  <si>
    <t>A</t>
  </si>
  <si>
    <t>ecv</t>
  </si>
  <si>
    <t>ecp</t>
  </si>
  <si>
    <t>Epaisseur de corrosion de la virole</t>
  </si>
  <si>
    <t>Epaisseur de corrosion du piquage</t>
  </si>
  <si>
    <t>Longueur de compensation du piquage pour air D(&lt;=l)</t>
  </si>
  <si>
    <t>l</t>
  </si>
  <si>
    <t>dp</t>
  </si>
  <si>
    <t>Dr</t>
  </si>
  <si>
    <t>de</t>
  </si>
  <si>
    <t>Epaisseur nominale de la paroi de la tubulure</t>
  </si>
  <si>
    <t>Epaisseur minimale de la paroi de la tubulure = (p*di)/(2*f1-p)</t>
  </si>
  <si>
    <t>Limite de la zone de compensation = racine(dm*et)</t>
  </si>
  <si>
    <t>Diamètre de l'ouverture dans la paroi= di+2*et</t>
  </si>
  <si>
    <t>Epaisseur nominale de l'anneau de renfort</t>
  </si>
  <si>
    <t>h</t>
  </si>
  <si>
    <t>D</t>
  </si>
  <si>
    <t>S</t>
  </si>
  <si>
    <t>Sc</t>
  </si>
  <si>
    <t>Surface de compensation = B+C+D+0,7*E+S</t>
  </si>
  <si>
    <t>Surface de compensation SC doit être ua moins égale à l'Air  de la section à compenser A</t>
  </si>
  <si>
    <t>Contrainte nominale de calcul du foyer = Rp0,2/1,5</t>
  </si>
  <si>
    <t>Rayon intérieur de la virole</t>
  </si>
  <si>
    <r>
      <t>mm</t>
    </r>
    <r>
      <rPr>
        <vertAlign val="superscript"/>
        <sz val="10"/>
        <rFont val="Arial"/>
        <family val="2"/>
      </rPr>
      <t>2</t>
    </r>
  </si>
  <si>
    <t xml:space="preserve"> </t>
  </si>
  <si>
    <t>Aire de la section à compenser =(dp+2*eto)*eo</t>
  </si>
  <si>
    <t>Aire de la section de compensation dans le corps de la virole =2*(L+et-eto)*(en-eo-ecv)</t>
  </si>
  <si>
    <t>Aire de la section de compensation dans la tubulure =2*(l+er)*(et-eto-ecp)</t>
  </si>
  <si>
    <t>Aire de la section de la tubulure (piquage =2*h*(et-ecp)</t>
  </si>
  <si>
    <t>Aire De la section de l'anneau-renfort = er*(DR-di-2(et-ecp))</t>
  </si>
  <si>
    <t>Aire De la section des soudures (minimum</t>
  </si>
  <si>
    <t>Calcul de l'épaisseur du corps de foyer</t>
  </si>
  <si>
    <t>Calcul du piquage isolé - Trou de Poing</t>
  </si>
  <si>
    <t>Calcul de l'épaisseur du fond</t>
  </si>
  <si>
    <t>Coefficient correcteur dépendant de la position relative des points d'ancrage</t>
  </si>
  <si>
    <t>Inox réfractaire</t>
  </si>
  <si>
    <t>??</t>
  </si>
  <si>
    <t>Distance entre raidisseurs efficaces</t>
  </si>
  <si>
    <t>8C265</t>
  </si>
  <si>
    <t>Inox 310S</t>
  </si>
  <si>
    <t>Inox  310S</t>
  </si>
  <si>
    <t>Suzanne</t>
  </si>
  <si>
    <t>Pas de raidisseurs = DM</t>
  </si>
  <si>
    <t>Code de construction de générateur de vapeur NF 32-104 (sept 1986)</t>
  </si>
  <si>
    <t>Coefficient dépendant de la nature des ancrages</t>
  </si>
  <si>
    <t>Epaisseur calculée du fond =C*b*y*(racine(p/f))+c</t>
  </si>
  <si>
    <t>Coefficient directeur dépendant de la position relative des points d'ancrage</t>
  </si>
  <si>
    <t>Code de construction de générateur de vapeur NF 32-101 (sept 1986)</t>
  </si>
  <si>
    <t>voir valeur ligne 12</t>
  </si>
  <si>
    <t>voir ligne 12 &amp;13</t>
  </si>
  <si>
    <t>7C466</t>
  </si>
  <si>
    <t>6C629</t>
  </si>
  <si>
    <t>Calcul du piquage isolé - Diamètre 33,4 Epaisseur 2,77</t>
  </si>
  <si>
    <t>Surface de compensation SC doit être au moins égale à l'Aire de la section à compenser A</t>
  </si>
  <si>
    <t>Surface de la section à compenser =(dp+2*eto)*eo</t>
  </si>
  <si>
    <t>Surface de la section de compensation dans le corps de la virole =2*(L+et-eto)*(en-eo-ecv)</t>
  </si>
  <si>
    <t>Surface de la section de compensation dans la tubulure =2*(l+er)*(et-eto-ecp)</t>
  </si>
  <si>
    <t>Surface de la section de la tubulure (piquage =2*h*(et-ecp)</t>
  </si>
  <si>
    <t>Surface de la section de l'anneau-renfort = er*(DR-di-2(et-ecp))</t>
  </si>
  <si>
    <t>Surface de la section des soudures (minimum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</si>
</sst>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80" fontId="0" fillId="4" borderId="0" xfId="0" applyNumberFormat="1" applyFill="1" applyAlignment="1">
      <alignment/>
    </xf>
    <xf numFmtId="180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3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0" fillId="4" borderId="0" xfId="0" applyFill="1" applyAlignment="1">
      <alignment horizontal="right"/>
    </xf>
    <xf numFmtId="2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ont="1" applyFill="1" applyAlignment="1">
      <alignment horizontal="right"/>
    </xf>
    <xf numFmtId="0" fontId="0" fillId="3" borderId="0" xfId="0" applyFill="1" applyAlignment="1" quotePrefix="1">
      <alignment/>
    </xf>
    <xf numFmtId="0" fontId="0" fillId="0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180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11.421875" defaultRowHeight="12.75"/>
  <cols>
    <col min="1" max="1" width="62.28125" style="0" customWidth="1"/>
    <col min="2" max="2" width="5.8515625" style="0" bestFit="1" customWidth="1"/>
    <col min="3" max="3" width="5.00390625" style="0" bestFit="1" customWidth="1"/>
  </cols>
  <sheetData>
    <row r="1" ht="25.5" customHeight="1">
      <c r="A1" s="2" t="s">
        <v>26</v>
      </c>
    </row>
    <row r="2" spans="1:5" ht="12.75">
      <c r="A2" s="3" t="s">
        <v>47</v>
      </c>
      <c r="B2" s="3" t="s">
        <v>46</v>
      </c>
      <c r="C2" s="3" t="s">
        <v>45</v>
      </c>
      <c r="D2" s="3" t="s">
        <v>44</v>
      </c>
      <c r="E2" s="3" t="s">
        <v>43</v>
      </c>
    </row>
    <row r="3" spans="1:5" ht="12.75">
      <c r="A3" t="s">
        <v>7</v>
      </c>
      <c r="C3" s="16" t="s">
        <v>137</v>
      </c>
      <c r="E3" t="s">
        <v>149</v>
      </c>
    </row>
    <row r="4" spans="1:4" ht="14.25">
      <c r="A4" t="s">
        <v>0</v>
      </c>
      <c r="B4" t="s">
        <v>5</v>
      </c>
      <c r="C4" s="16">
        <v>1</v>
      </c>
      <c r="D4" t="s">
        <v>6</v>
      </c>
    </row>
    <row r="5" spans="1:3" ht="12.75">
      <c r="A5" t="s">
        <v>20</v>
      </c>
      <c r="B5" t="s">
        <v>11</v>
      </c>
      <c r="C5" s="16">
        <v>200</v>
      </c>
    </row>
    <row r="6" spans="1:4" ht="14.25">
      <c r="A6" t="s">
        <v>21</v>
      </c>
      <c r="B6" t="s">
        <v>12</v>
      </c>
      <c r="C6" s="16">
        <v>599</v>
      </c>
      <c r="D6" t="s">
        <v>6</v>
      </c>
    </row>
    <row r="7" spans="1:4" ht="14.25">
      <c r="A7" t="s">
        <v>22</v>
      </c>
      <c r="B7" t="s">
        <v>13</v>
      </c>
      <c r="C7" s="16">
        <v>330</v>
      </c>
      <c r="D7" t="s">
        <v>6</v>
      </c>
    </row>
    <row r="8" spans="1:4" ht="14.25">
      <c r="A8" t="s">
        <v>1</v>
      </c>
      <c r="C8" s="4">
        <f>C6/2.5</f>
        <v>239.6</v>
      </c>
      <c r="D8" t="s">
        <v>6</v>
      </c>
    </row>
    <row r="9" spans="1:4" ht="14.25">
      <c r="A9" t="s">
        <v>8</v>
      </c>
      <c r="C9" s="4">
        <f>C7/1.5</f>
        <v>220</v>
      </c>
      <c r="D9" t="s">
        <v>6</v>
      </c>
    </row>
    <row r="10" spans="1:4" ht="14.25">
      <c r="A10" t="s">
        <v>27</v>
      </c>
      <c r="B10" t="s">
        <v>14</v>
      </c>
      <c r="C10" s="4">
        <f>MIN(C8:C9)</f>
        <v>220</v>
      </c>
      <c r="D10" t="s">
        <v>6</v>
      </c>
    </row>
    <row r="11" spans="1:3" ht="12.75">
      <c r="A11" t="s">
        <v>9</v>
      </c>
      <c r="B11" t="s">
        <v>15</v>
      </c>
      <c r="C11" s="16">
        <v>0.7</v>
      </c>
    </row>
    <row r="12" spans="1:4" ht="12.75">
      <c r="A12" t="s">
        <v>2</v>
      </c>
      <c r="B12" t="s">
        <v>16</v>
      </c>
      <c r="C12" s="16">
        <v>637</v>
      </c>
      <c r="D12" t="s">
        <v>25</v>
      </c>
    </row>
    <row r="13" spans="1:4" ht="12.75">
      <c r="A13" t="s">
        <v>23</v>
      </c>
      <c r="B13" t="s">
        <v>17</v>
      </c>
      <c r="C13" s="16">
        <v>6</v>
      </c>
      <c r="D13" t="s">
        <v>25</v>
      </c>
    </row>
    <row r="14" spans="1:4" ht="12.75">
      <c r="A14" t="s">
        <v>10</v>
      </c>
      <c r="B14" t="s">
        <v>18</v>
      </c>
      <c r="C14" s="22">
        <f>C12-(C13*2)</f>
        <v>625</v>
      </c>
      <c r="D14" t="s">
        <v>25</v>
      </c>
    </row>
    <row r="15" spans="1:4" ht="12.75">
      <c r="A15" t="s">
        <v>3</v>
      </c>
      <c r="B15" t="s">
        <v>19</v>
      </c>
      <c r="C15" s="16">
        <v>0</v>
      </c>
      <c r="D15" t="s">
        <v>25</v>
      </c>
    </row>
    <row r="16" spans="1:4" ht="12.75">
      <c r="A16" t="s">
        <v>24</v>
      </c>
      <c r="B16" t="s">
        <v>31</v>
      </c>
      <c r="C16" s="12">
        <f>(C4*C14)/(C10*C11-0.5*C4)+C15</f>
        <v>4.071661237785016</v>
      </c>
      <c r="D16" t="s">
        <v>25</v>
      </c>
    </row>
    <row r="17" spans="1:4" ht="12.75">
      <c r="A17" t="s">
        <v>4</v>
      </c>
      <c r="C17" s="18">
        <v>6</v>
      </c>
      <c r="D17" t="s">
        <v>25</v>
      </c>
    </row>
  </sheetData>
  <printOptions/>
  <pageMargins left="0.12" right="0.12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11.421875" defaultRowHeight="12.75"/>
  <cols>
    <col min="1" max="1" width="66.00390625" style="0" bestFit="1" customWidth="1"/>
    <col min="2" max="2" width="5.8515625" style="0" bestFit="1" customWidth="1"/>
    <col min="3" max="3" width="8.57421875" style="0" bestFit="1" customWidth="1"/>
    <col min="4" max="4" width="6.7109375" style="0" bestFit="1" customWidth="1"/>
    <col min="5" max="5" width="12.7109375" style="0" bestFit="1" customWidth="1"/>
    <col min="6" max="6" width="12.7109375" style="0" customWidth="1"/>
  </cols>
  <sheetData>
    <row r="1" ht="18">
      <c r="A1" s="2" t="s">
        <v>129</v>
      </c>
    </row>
    <row r="2" spans="1:7" ht="12.75">
      <c r="A2" s="3" t="s">
        <v>47</v>
      </c>
      <c r="B2" s="3" t="s">
        <v>46</v>
      </c>
      <c r="C2" s="3" t="s">
        <v>45</v>
      </c>
      <c r="D2" s="3" t="s">
        <v>44</v>
      </c>
      <c r="E2" s="3" t="s">
        <v>43</v>
      </c>
      <c r="F2" s="3"/>
      <c r="G2" s="3" t="s">
        <v>139</v>
      </c>
    </row>
    <row r="3" spans="1:7" ht="12.75">
      <c r="A3" t="s">
        <v>7</v>
      </c>
      <c r="C3" s="16" t="s">
        <v>133</v>
      </c>
      <c r="E3" t="s">
        <v>136</v>
      </c>
      <c r="G3" s="16"/>
    </row>
    <row r="4" spans="1:7" ht="14.25">
      <c r="A4" t="s">
        <v>0</v>
      </c>
      <c r="B4" t="s">
        <v>5</v>
      </c>
      <c r="C4" s="7">
        <v>1</v>
      </c>
      <c r="D4" t="s">
        <v>6</v>
      </c>
      <c r="G4" s="7">
        <v>1</v>
      </c>
    </row>
    <row r="5" spans="1:7" ht="12.75">
      <c r="A5" t="s">
        <v>20</v>
      </c>
      <c r="B5" t="s">
        <v>11</v>
      </c>
      <c r="C5" s="7">
        <v>300</v>
      </c>
      <c r="D5" t="s">
        <v>39</v>
      </c>
      <c r="E5" t="s">
        <v>40</v>
      </c>
      <c r="G5" s="7">
        <v>300</v>
      </c>
    </row>
    <row r="6" spans="1:7" ht="14.25">
      <c r="A6" t="s">
        <v>21</v>
      </c>
      <c r="B6" t="s">
        <v>12</v>
      </c>
      <c r="C6" s="10">
        <v>616</v>
      </c>
      <c r="D6" t="s">
        <v>6</v>
      </c>
      <c r="G6" s="10">
        <v>410</v>
      </c>
    </row>
    <row r="7" spans="1:7" ht="14.25">
      <c r="A7" t="s">
        <v>22</v>
      </c>
      <c r="B7" t="s">
        <v>13</v>
      </c>
      <c r="C7" s="10">
        <v>320</v>
      </c>
      <c r="D7" t="s">
        <v>6</v>
      </c>
      <c r="G7" s="10">
        <v>155</v>
      </c>
    </row>
    <row r="8" spans="1:7" ht="14.25">
      <c r="A8" t="s">
        <v>1</v>
      </c>
      <c r="C8" s="5">
        <f>C6/2.5</f>
        <v>246.4</v>
      </c>
      <c r="D8" t="s">
        <v>6</v>
      </c>
      <c r="G8" s="5">
        <f>G6/2.5</f>
        <v>164</v>
      </c>
    </row>
    <row r="9" spans="1:7" ht="14.25">
      <c r="A9" t="s">
        <v>8</v>
      </c>
      <c r="C9" s="5">
        <f>+C7/1.5</f>
        <v>213.33333333333334</v>
      </c>
      <c r="D9" t="s">
        <v>6</v>
      </c>
      <c r="G9" s="5">
        <f>+G7/1.5</f>
        <v>103.33333333333333</v>
      </c>
    </row>
    <row r="10" spans="1:7" ht="14.25">
      <c r="A10" t="s">
        <v>28</v>
      </c>
      <c r="B10" t="s">
        <v>14</v>
      </c>
      <c r="C10" s="5">
        <f>MIN(C8:C9)</f>
        <v>213.33333333333334</v>
      </c>
      <c r="D10" t="s">
        <v>6</v>
      </c>
      <c r="G10" s="5">
        <f>MIN(G8:G9)</f>
        <v>103.33333333333333</v>
      </c>
    </row>
    <row r="11" spans="1:7" ht="14.25">
      <c r="A11" t="s">
        <v>49</v>
      </c>
      <c r="B11" t="s">
        <v>50</v>
      </c>
      <c r="C11" s="13">
        <v>186000</v>
      </c>
      <c r="D11" t="s">
        <v>6</v>
      </c>
      <c r="E11" t="s">
        <v>134</v>
      </c>
      <c r="G11" s="13">
        <v>186000</v>
      </c>
    </row>
    <row r="12" spans="1:7" ht="12.75">
      <c r="A12" t="s">
        <v>9</v>
      </c>
      <c r="B12" t="s">
        <v>15</v>
      </c>
      <c r="C12" s="10">
        <v>0.7</v>
      </c>
      <c r="G12" s="10">
        <v>0.7</v>
      </c>
    </row>
    <row r="13" spans="1:7" ht="12.75">
      <c r="A13" t="s">
        <v>51</v>
      </c>
      <c r="B13" t="s">
        <v>16</v>
      </c>
      <c r="C13" s="10">
        <v>548</v>
      </c>
      <c r="D13" t="s">
        <v>25</v>
      </c>
      <c r="G13" s="10">
        <v>550</v>
      </c>
    </row>
    <row r="14" spans="1:7" ht="12.75">
      <c r="A14" t="s">
        <v>54</v>
      </c>
      <c r="B14" t="s">
        <v>17</v>
      </c>
      <c r="C14" s="10">
        <v>10</v>
      </c>
      <c r="D14" t="s">
        <v>25</v>
      </c>
      <c r="G14" s="10">
        <v>10</v>
      </c>
    </row>
    <row r="15" spans="1:7" ht="12.75">
      <c r="A15" t="s">
        <v>53</v>
      </c>
      <c r="B15" t="s">
        <v>52</v>
      </c>
      <c r="C15" s="5">
        <f>C13-C14</f>
        <v>538</v>
      </c>
      <c r="D15" t="s">
        <v>25</v>
      </c>
      <c r="G15" s="5">
        <f>G13-G14</f>
        <v>540</v>
      </c>
    </row>
    <row r="16" spans="1:7" ht="12.75">
      <c r="A16" t="s">
        <v>55</v>
      </c>
      <c r="B16" t="s">
        <v>56</v>
      </c>
      <c r="C16" s="11">
        <v>0.54</v>
      </c>
      <c r="D16" t="s">
        <v>57</v>
      </c>
      <c r="G16" s="11">
        <v>0.54</v>
      </c>
    </row>
    <row r="17" spans="1:7" ht="12.75">
      <c r="A17" t="s">
        <v>135</v>
      </c>
      <c r="B17" t="s">
        <v>58</v>
      </c>
      <c r="C17" s="13">
        <v>548</v>
      </c>
      <c r="D17" t="s">
        <v>25</v>
      </c>
      <c r="E17" t="s">
        <v>140</v>
      </c>
      <c r="G17" s="13">
        <v>510</v>
      </c>
    </row>
    <row r="18" spans="1:7" ht="12.75">
      <c r="A18" t="s">
        <v>60</v>
      </c>
      <c r="B18" t="s">
        <v>59</v>
      </c>
      <c r="C18" s="10">
        <v>2.5</v>
      </c>
      <c r="G18" s="10">
        <v>2.5</v>
      </c>
    </row>
    <row r="19" spans="1:7" ht="12.75">
      <c r="A19" t="s">
        <v>61</v>
      </c>
      <c r="B19" t="s">
        <v>62</v>
      </c>
      <c r="C19" s="10">
        <v>3</v>
      </c>
      <c r="G19" s="10">
        <v>3</v>
      </c>
    </row>
    <row r="20" spans="1:7" ht="12.75">
      <c r="A20" t="s">
        <v>3</v>
      </c>
      <c r="B20" t="s">
        <v>19</v>
      </c>
      <c r="C20" s="10">
        <v>0</v>
      </c>
      <c r="G20" s="10">
        <v>1</v>
      </c>
    </row>
    <row r="21" spans="1:7" ht="12.75">
      <c r="A21" t="s">
        <v>64</v>
      </c>
      <c r="B21" t="s">
        <v>63</v>
      </c>
      <c r="C21" s="1">
        <f>(C4*C15*C18)/(2*C7*(1+0.1*C15/C17))</f>
        <v>1.9136860252575607</v>
      </c>
      <c r="G21" s="1">
        <f>(G4*G15*G18)/(2*G7*(1+0.1*G15/G17))</f>
        <v>3.9378860672614957</v>
      </c>
    </row>
    <row r="22" spans="1:7" ht="12.75">
      <c r="A22" t="s">
        <v>65</v>
      </c>
      <c r="B22" t="s">
        <v>71</v>
      </c>
      <c r="C22" s="1">
        <f>0.12*C15*C16</f>
        <v>34.8624</v>
      </c>
      <c r="G22" s="1">
        <f>0.12*G15*G16</f>
        <v>34.992</v>
      </c>
    </row>
    <row r="23" spans="1:7" ht="12.75">
      <c r="A23" t="s">
        <v>66</v>
      </c>
      <c r="B23" t="s">
        <v>72</v>
      </c>
      <c r="C23" s="1">
        <f>(1+5*C15/C17)*C21</f>
        <v>11.30750976237953</v>
      </c>
      <c r="G23" s="1">
        <f>(1+5*G15/G17)*G21</f>
        <v>24.785518188057647</v>
      </c>
    </row>
    <row r="24" spans="1:7" ht="12.75">
      <c r="A24" t="s">
        <v>67</v>
      </c>
      <c r="B24" t="s">
        <v>76</v>
      </c>
      <c r="C24" s="12">
        <f>(C21/2)*(1+SQRT(1+C22/C23))+C20</f>
        <v>2.8903098030667613</v>
      </c>
      <c r="D24" t="s">
        <v>25</v>
      </c>
      <c r="G24" s="12">
        <f>(G21/2)*(1+SQRT(1+G22/G23))+G20</f>
        <v>6.026700883060158</v>
      </c>
    </row>
    <row r="25" spans="1:7" ht="12.75">
      <c r="A25" t="s">
        <v>68</v>
      </c>
      <c r="B25" t="s">
        <v>73</v>
      </c>
      <c r="C25" s="5">
        <f>+C4*C19*C17</f>
        <v>1644</v>
      </c>
      <c r="G25" s="5">
        <f>+G4*G19*G17</f>
        <v>1530</v>
      </c>
    </row>
    <row r="26" spans="1:7" ht="12.75">
      <c r="A26" t="s">
        <v>69</v>
      </c>
      <c r="B26" t="s">
        <v>74</v>
      </c>
      <c r="C26" s="6">
        <f>2.6*C11</f>
        <v>483600</v>
      </c>
      <c r="G26" s="6">
        <f>2.6*G11</f>
        <v>483600</v>
      </c>
    </row>
    <row r="27" spans="1:7" ht="12.75">
      <c r="A27" t="s">
        <v>70</v>
      </c>
      <c r="B27" t="s">
        <v>77</v>
      </c>
      <c r="C27" s="12">
        <f>(C15^0.6)*((C25/C26)^0.4)+C20</f>
        <v>4.477499786430781</v>
      </c>
      <c r="D27" t="s">
        <v>25</v>
      </c>
      <c r="G27" s="12">
        <f>(G15^0.6)*((G25/G26)^0.4)+G20</f>
        <v>5.36031948215693</v>
      </c>
    </row>
    <row r="28" spans="1:7" ht="12.75">
      <c r="A28" t="s">
        <v>4</v>
      </c>
      <c r="C28" s="9">
        <v>10</v>
      </c>
      <c r="D28" t="s">
        <v>25</v>
      </c>
      <c r="G28" s="9">
        <v>10</v>
      </c>
    </row>
  </sheetData>
  <printOptions/>
  <pageMargins left="0.2" right="0.19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68.7109375" style="0" bestFit="1" customWidth="1"/>
    <col min="2" max="2" width="5.8515625" style="0" bestFit="1" customWidth="1"/>
    <col min="3" max="4" width="6.7109375" style="0" bestFit="1" customWidth="1"/>
  </cols>
  <sheetData>
    <row r="1" ht="18">
      <c r="A1" s="2" t="s">
        <v>131</v>
      </c>
    </row>
    <row r="2" spans="1:6" ht="12.75">
      <c r="A2" s="3" t="s">
        <v>47</v>
      </c>
      <c r="B2" s="3" t="s">
        <v>46</v>
      </c>
      <c r="C2" s="3" t="s">
        <v>45</v>
      </c>
      <c r="D2" s="3" t="s">
        <v>44</v>
      </c>
      <c r="E2" s="3" t="s">
        <v>43</v>
      </c>
      <c r="F2" s="3" t="s">
        <v>139</v>
      </c>
    </row>
    <row r="3" spans="1:6" ht="12.75">
      <c r="A3" t="s">
        <v>7</v>
      </c>
      <c r="C3" s="16" t="s">
        <v>138</v>
      </c>
      <c r="E3" t="s">
        <v>148</v>
      </c>
      <c r="F3" s="16"/>
    </row>
    <row r="4" spans="1:6" ht="14.25">
      <c r="A4" s="21" t="s">
        <v>0</v>
      </c>
      <c r="B4" t="s">
        <v>5</v>
      </c>
      <c r="C4" s="16">
        <v>1</v>
      </c>
      <c r="D4" t="s">
        <v>6</v>
      </c>
      <c r="F4" s="16">
        <v>1</v>
      </c>
    </row>
    <row r="5" spans="1:6" ht="12.75">
      <c r="A5" s="21" t="s">
        <v>20</v>
      </c>
      <c r="B5" t="s">
        <v>11</v>
      </c>
      <c r="C5" s="16">
        <v>200</v>
      </c>
      <c r="F5" s="16">
        <v>200</v>
      </c>
    </row>
    <row r="6" spans="1:6" ht="14.25">
      <c r="A6" s="21" t="s">
        <v>21</v>
      </c>
      <c r="B6" t="s">
        <v>12</v>
      </c>
      <c r="C6" s="16">
        <v>515</v>
      </c>
      <c r="D6" t="s">
        <v>6</v>
      </c>
      <c r="F6" s="16">
        <v>410</v>
      </c>
    </row>
    <row r="7" spans="1:6" ht="14.25">
      <c r="A7" s="21" t="s">
        <v>22</v>
      </c>
      <c r="B7" t="s">
        <v>13</v>
      </c>
      <c r="C7" s="16">
        <v>206</v>
      </c>
      <c r="D7" t="s">
        <v>6</v>
      </c>
      <c r="F7" s="16">
        <v>195</v>
      </c>
    </row>
    <row r="8" spans="1:6" ht="14.25">
      <c r="A8" s="21" t="s">
        <v>1</v>
      </c>
      <c r="C8" s="4">
        <f>C6/2.5</f>
        <v>206</v>
      </c>
      <c r="D8" t="s">
        <v>6</v>
      </c>
      <c r="F8" s="4">
        <f>F6/2.5</f>
        <v>164</v>
      </c>
    </row>
    <row r="9" spans="1:6" ht="14.25">
      <c r="A9" s="21" t="s">
        <v>8</v>
      </c>
      <c r="C9" s="4">
        <f>C7/1.5</f>
        <v>137.33333333333334</v>
      </c>
      <c r="D9" t="s">
        <v>6</v>
      </c>
      <c r="F9" s="4">
        <f>F7/1.5</f>
        <v>130</v>
      </c>
    </row>
    <row r="10" spans="1:6" ht="14.25">
      <c r="A10" s="21" t="s">
        <v>28</v>
      </c>
      <c r="B10" t="s">
        <v>14</v>
      </c>
      <c r="C10" s="4">
        <f>MIN(C8:C9)</f>
        <v>137.33333333333334</v>
      </c>
      <c r="D10" t="s">
        <v>6</v>
      </c>
      <c r="F10" s="4">
        <f>MIN(F8:F9)</f>
        <v>130</v>
      </c>
    </row>
    <row r="11" spans="1:6" ht="12.75">
      <c r="A11" s="21" t="s">
        <v>9</v>
      </c>
      <c r="B11" t="s">
        <v>15</v>
      </c>
      <c r="C11" s="16">
        <v>0.7</v>
      </c>
      <c r="F11" s="16">
        <v>0.7</v>
      </c>
    </row>
    <row r="12" spans="1:6" ht="12.75">
      <c r="A12" s="21" t="s">
        <v>34</v>
      </c>
      <c r="B12" t="s">
        <v>38</v>
      </c>
      <c r="C12" s="16">
        <v>39</v>
      </c>
      <c r="D12" t="s">
        <v>25</v>
      </c>
      <c r="F12" s="16">
        <v>42</v>
      </c>
    </row>
    <row r="13" spans="1:6" ht="12.75">
      <c r="A13" s="21" t="s">
        <v>142</v>
      </c>
      <c r="B13" t="s">
        <v>30</v>
      </c>
      <c r="C13" s="16">
        <v>0.45</v>
      </c>
      <c r="F13" s="16">
        <v>0.45</v>
      </c>
    </row>
    <row r="14" spans="1:6" ht="12.75">
      <c r="A14" s="21" t="s">
        <v>144</v>
      </c>
      <c r="B14" t="s">
        <v>37</v>
      </c>
      <c r="C14" s="16">
        <v>1</v>
      </c>
      <c r="F14" s="16">
        <v>1</v>
      </c>
    </row>
    <row r="15" spans="1:6" ht="12.75">
      <c r="A15" s="21" t="s">
        <v>3</v>
      </c>
      <c r="B15" t="s">
        <v>19</v>
      </c>
      <c r="C15" s="16">
        <v>0</v>
      </c>
      <c r="D15" t="s">
        <v>25</v>
      </c>
      <c r="F15" s="16">
        <v>0.75</v>
      </c>
    </row>
    <row r="16" spans="1:6" ht="12.75">
      <c r="A16" t="s">
        <v>143</v>
      </c>
      <c r="B16" t="s">
        <v>31</v>
      </c>
      <c r="C16" s="12">
        <f>C13*C12*C14*SQRT(C4/C10)+C15</f>
        <v>1.4975769263999217</v>
      </c>
      <c r="D16" t="s">
        <v>25</v>
      </c>
      <c r="F16" s="1">
        <f>F13*F12*F14*SQRT(F4/F10)+F15</f>
        <v>2.4076396564902853</v>
      </c>
    </row>
    <row r="17" spans="1:6" ht="12.75">
      <c r="A17" t="s">
        <v>4</v>
      </c>
      <c r="C17" s="18">
        <v>10</v>
      </c>
      <c r="D17" t="s">
        <v>25</v>
      </c>
      <c r="F17" s="18">
        <v>10</v>
      </c>
    </row>
    <row r="19" ht="12.75">
      <c r="A19" t="s">
        <v>141</v>
      </c>
    </row>
    <row r="23" ht="12.75">
      <c r="A23" t="s">
        <v>147</v>
      </c>
    </row>
  </sheetData>
  <printOptions/>
  <pageMargins left="0.18" right="0.16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421875" defaultRowHeight="12.75"/>
  <cols>
    <col min="1" max="1" width="66.00390625" style="0" bestFit="1" customWidth="1"/>
    <col min="2" max="2" width="5.8515625" style="0" bestFit="1" customWidth="1"/>
    <col min="3" max="3" width="7.00390625" style="0" bestFit="1" customWidth="1"/>
    <col min="4" max="4" width="6.7109375" style="0" bestFit="1" customWidth="1"/>
  </cols>
  <sheetData>
    <row r="1" ht="18">
      <c r="A1" s="2" t="s">
        <v>42</v>
      </c>
    </row>
    <row r="2" spans="1:7" ht="12.75">
      <c r="A2" s="3" t="s">
        <v>47</v>
      </c>
      <c r="B2" s="3" t="s">
        <v>46</v>
      </c>
      <c r="C2" s="3" t="s">
        <v>45</v>
      </c>
      <c r="D2" s="3" t="s">
        <v>44</v>
      </c>
      <c r="E2" s="3" t="s">
        <v>43</v>
      </c>
      <c r="G2" s="3" t="s">
        <v>139</v>
      </c>
    </row>
    <row r="3" spans="1:5" ht="12.75">
      <c r="A3" t="s">
        <v>7</v>
      </c>
      <c r="C3" s="16" t="s">
        <v>138</v>
      </c>
      <c r="E3" t="s">
        <v>148</v>
      </c>
    </row>
    <row r="4" spans="1:7" ht="14.25">
      <c r="A4" t="s">
        <v>0</v>
      </c>
      <c r="B4" t="s">
        <v>5</v>
      </c>
      <c r="C4" s="7">
        <v>1</v>
      </c>
      <c r="D4" t="s">
        <v>6</v>
      </c>
      <c r="G4" s="7">
        <v>1</v>
      </c>
    </row>
    <row r="5" spans="1:7" ht="12.75">
      <c r="A5" t="s">
        <v>20</v>
      </c>
      <c r="B5" t="s">
        <v>11</v>
      </c>
      <c r="C5" s="7">
        <v>300</v>
      </c>
      <c r="D5" t="s">
        <v>39</v>
      </c>
      <c r="E5" t="s">
        <v>40</v>
      </c>
      <c r="G5" s="7">
        <v>300</v>
      </c>
    </row>
    <row r="6" spans="1:7" ht="14.25">
      <c r="A6" t="s">
        <v>21</v>
      </c>
      <c r="B6" t="s">
        <v>12</v>
      </c>
      <c r="C6" s="16">
        <v>587</v>
      </c>
      <c r="D6" t="s">
        <v>6</v>
      </c>
      <c r="G6" s="10">
        <v>410</v>
      </c>
    </row>
    <row r="7" spans="1:7" ht="14.25">
      <c r="A7" t="s">
        <v>22</v>
      </c>
      <c r="B7" t="s">
        <v>13</v>
      </c>
      <c r="C7" s="16">
        <v>271</v>
      </c>
      <c r="D7" t="s">
        <v>6</v>
      </c>
      <c r="G7" s="10">
        <v>155</v>
      </c>
    </row>
    <row r="8" spans="1:7" ht="14.25">
      <c r="A8" t="s">
        <v>1</v>
      </c>
      <c r="C8" s="5">
        <f>C6/2.5</f>
        <v>234.8</v>
      </c>
      <c r="D8" t="s">
        <v>6</v>
      </c>
      <c r="G8" s="5">
        <f>G6/2.5</f>
        <v>164</v>
      </c>
    </row>
    <row r="9" spans="1:7" ht="14.25">
      <c r="A9" t="s">
        <v>8</v>
      </c>
      <c r="C9" s="5">
        <f>+C7/1.5</f>
        <v>180.66666666666666</v>
      </c>
      <c r="D9" t="s">
        <v>6</v>
      </c>
      <c r="G9" s="5">
        <f>+G7/1.5</f>
        <v>103.33333333333333</v>
      </c>
    </row>
    <row r="10" spans="1:7" ht="14.25">
      <c r="A10" t="s">
        <v>28</v>
      </c>
      <c r="B10" t="s">
        <v>14</v>
      </c>
      <c r="C10" s="5">
        <f>MIN(C8:C9)</f>
        <v>180.66666666666666</v>
      </c>
      <c r="D10" t="s">
        <v>6</v>
      </c>
      <c r="G10" s="5">
        <f>MIN(G8:G9)</f>
        <v>103.33333333333333</v>
      </c>
    </row>
    <row r="11" spans="1:7" ht="12.75">
      <c r="A11" t="s">
        <v>9</v>
      </c>
      <c r="B11" t="s">
        <v>15</v>
      </c>
      <c r="C11" s="10">
        <v>0.7</v>
      </c>
      <c r="G11" s="10">
        <v>0.7</v>
      </c>
    </row>
    <row r="12" spans="1:7" ht="12.75">
      <c r="A12" t="s">
        <v>34</v>
      </c>
      <c r="B12" t="s">
        <v>38</v>
      </c>
      <c r="C12" s="10">
        <v>120</v>
      </c>
      <c r="D12" t="s">
        <v>25</v>
      </c>
      <c r="G12" s="10">
        <v>230.85</v>
      </c>
    </row>
    <row r="13" spans="1:7" ht="12.75">
      <c r="A13" t="s">
        <v>35</v>
      </c>
      <c r="B13" t="s">
        <v>30</v>
      </c>
      <c r="C13" s="11">
        <v>0.45</v>
      </c>
      <c r="G13" s="11">
        <v>0.45</v>
      </c>
    </row>
    <row r="14" spans="1:7" ht="12.75">
      <c r="A14" t="s">
        <v>36</v>
      </c>
      <c r="B14" t="s">
        <v>37</v>
      </c>
      <c r="C14" s="10">
        <v>1</v>
      </c>
      <c r="G14" s="10">
        <v>1</v>
      </c>
    </row>
    <row r="15" spans="1:7" ht="12.75">
      <c r="A15" t="s">
        <v>3</v>
      </c>
      <c r="B15" t="s">
        <v>19</v>
      </c>
      <c r="C15" s="10">
        <v>0</v>
      </c>
      <c r="D15" t="s">
        <v>25</v>
      </c>
      <c r="G15" s="10">
        <v>0.75</v>
      </c>
    </row>
    <row r="16" spans="1:7" ht="12.75">
      <c r="A16" t="s">
        <v>41</v>
      </c>
      <c r="B16" t="s">
        <v>31</v>
      </c>
      <c r="C16" s="23">
        <f>(C13*C12*C14*SQRT(C4/C10))+C15</f>
        <v>4.017489440211888</v>
      </c>
      <c r="D16" t="s">
        <v>25</v>
      </c>
      <c r="G16" s="1">
        <f>(G13*G12*G14*SQRT(G4/G10))+G15</f>
        <v>10.969324107873973</v>
      </c>
    </row>
    <row r="17" spans="1:7" ht="12.75">
      <c r="A17" t="s">
        <v>4</v>
      </c>
      <c r="C17" s="18">
        <v>10</v>
      </c>
      <c r="D17" t="s">
        <v>25</v>
      </c>
      <c r="G17" s="18">
        <v>10</v>
      </c>
    </row>
    <row r="19" ht="12.75">
      <c r="A19" t="s">
        <v>145</v>
      </c>
    </row>
    <row r="22" ht="12.75">
      <c r="A22" t="s">
        <v>146</v>
      </c>
    </row>
  </sheetData>
  <printOptions/>
  <pageMargins left="0.14" right="0.14" top="1" bottom="1" header="0.4921259845" footer="0.492125984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2" sqref="E12:E13"/>
    </sheetView>
  </sheetViews>
  <sheetFormatPr defaultColWidth="11.421875" defaultRowHeight="12.75"/>
  <cols>
    <col min="1" max="1" width="66.00390625" style="0" bestFit="1" customWidth="1"/>
    <col min="2" max="2" width="5.8515625" style="0" bestFit="1" customWidth="1"/>
    <col min="3" max="3" width="7.00390625" style="0" bestFit="1" customWidth="1"/>
    <col min="4" max="4" width="6.7109375" style="0" bestFit="1" customWidth="1"/>
    <col min="5" max="5" width="12.7109375" style="0" bestFit="1" customWidth="1"/>
  </cols>
  <sheetData>
    <row r="1" ht="18">
      <c r="A1" s="2" t="s">
        <v>48</v>
      </c>
    </row>
    <row r="2" spans="1:5" ht="12.75">
      <c r="A2" s="3" t="s">
        <v>47</v>
      </c>
      <c r="B2" s="3" t="s">
        <v>46</v>
      </c>
      <c r="C2" s="3" t="s">
        <v>45</v>
      </c>
      <c r="D2" s="3" t="s">
        <v>44</v>
      </c>
      <c r="E2" s="3" t="s">
        <v>43</v>
      </c>
    </row>
    <row r="3" spans="1:5" ht="12.75">
      <c r="A3" t="s">
        <v>7</v>
      </c>
      <c r="C3" s="16" t="s">
        <v>138</v>
      </c>
      <c r="E3" t="s">
        <v>148</v>
      </c>
    </row>
    <row r="4" spans="1:6" ht="14.25">
      <c r="A4" t="s">
        <v>0</v>
      </c>
      <c r="B4" t="s">
        <v>5</v>
      </c>
      <c r="C4" s="7">
        <v>1</v>
      </c>
      <c r="D4" t="s">
        <v>6</v>
      </c>
      <c r="F4" s="7">
        <v>1</v>
      </c>
    </row>
    <row r="5" spans="1:6" ht="12.75">
      <c r="A5" t="s">
        <v>20</v>
      </c>
      <c r="B5" t="s">
        <v>11</v>
      </c>
      <c r="C5" s="7">
        <v>200</v>
      </c>
      <c r="D5" t="s">
        <v>39</v>
      </c>
      <c r="F5" s="7">
        <v>200</v>
      </c>
    </row>
    <row r="6" spans="1:6" ht="14.25">
      <c r="A6" t="s">
        <v>21</v>
      </c>
      <c r="B6" t="s">
        <v>12</v>
      </c>
      <c r="C6" s="20">
        <v>587</v>
      </c>
      <c r="D6" t="s">
        <v>6</v>
      </c>
      <c r="F6" s="20">
        <v>587</v>
      </c>
    </row>
    <row r="7" spans="1:6" ht="14.25">
      <c r="A7" t="s">
        <v>22</v>
      </c>
      <c r="B7" t="s">
        <v>13</v>
      </c>
      <c r="C7" s="7">
        <v>271</v>
      </c>
      <c r="D7" t="s">
        <v>6</v>
      </c>
      <c r="F7" s="7">
        <v>271</v>
      </c>
    </row>
    <row r="8" spans="1:6" ht="14.25">
      <c r="A8" t="s">
        <v>1</v>
      </c>
      <c r="C8" s="6">
        <f>C6/2.5</f>
        <v>234.8</v>
      </c>
      <c r="D8" t="s">
        <v>6</v>
      </c>
      <c r="F8" s="6">
        <f>F6/2.5</f>
        <v>234.8</v>
      </c>
    </row>
    <row r="9" spans="1:6" ht="14.25">
      <c r="A9" t="s">
        <v>8</v>
      </c>
      <c r="C9" s="6">
        <f>+C7/1.5</f>
        <v>180.66666666666666</v>
      </c>
      <c r="D9" t="s">
        <v>6</v>
      </c>
      <c r="F9" s="6">
        <f>+F7/1.5</f>
        <v>180.66666666666666</v>
      </c>
    </row>
    <row r="10" spans="1:6" ht="14.25">
      <c r="A10" t="s">
        <v>78</v>
      </c>
      <c r="B10" t="s">
        <v>14</v>
      </c>
      <c r="C10" s="6">
        <f>MIN(C8:C9)</f>
        <v>180.66666666666666</v>
      </c>
      <c r="D10" t="s">
        <v>6</v>
      </c>
      <c r="F10" s="6">
        <f>MIN(F8:F9)</f>
        <v>180.66666666666666</v>
      </c>
    </row>
    <row r="11" spans="1:6" ht="12.75">
      <c r="A11" t="s">
        <v>9</v>
      </c>
      <c r="B11" t="s">
        <v>15</v>
      </c>
      <c r="C11" s="7">
        <v>0.7</v>
      </c>
      <c r="F11" s="7">
        <v>0.7</v>
      </c>
    </row>
    <row r="12" spans="1:6" ht="12.75">
      <c r="A12" t="s">
        <v>34</v>
      </c>
      <c r="B12" t="s">
        <v>38</v>
      </c>
      <c r="C12" s="7">
        <v>120</v>
      </c>
      <c r="D12" t="s">
        <v>25</v>
      </c>
      <c r="F12" s="7">
        <v>230.85</v>
      </c>
    </row>
    <row r="13" spans="1:6" ht="12.75">
      <c r="A13" t="s">
        <v>35</v>
      </c>
      <c r="B13" t="s">
        <v>30</v>
      </c>
      <c r="C13" s="7">
        <v>0.45</v>
      </c>
      <c r="F13" s="7">
        <v>0.45</v>
      </c>
    </row>
    <row r="14" spans="1:6" ht="12.75">
      <c r="A14" t="s">
        <v>132</v>
      </c>
      <c r="B14" t="s">
        <v>37</v>
      </c>
      <c r="C14" s="7">
        <v>1</v>
      </c>
      <c r="F14" s="7">
        <v>1</v>
      </c>
    </row>
    <row r="15" spans="1:6" ht="12.75">
      <c r="A15" t="s">
        <v>29</v>
      </c>
      <c r="B15" t="s">
        <v>19</v>
      </c>
      <c r="C15" s="7">
        <v>0</v>
      </c>
      <c r="D15" t="s">
        <v>25</v>
      </c>
      <c r="F15" s="7">
        <v>0</v>
      </c>
    </row>
    <row r="16" spans="1:6" ht="12.75">
      <c r="A16" t="s">
        <v>41</v>
      </c>
      <c r="B16" t="s">
        <v>31</v>
      </c>
      <c r="C16" s="12">
        <f>(C13*C12*C14*SQRT(C4/C10))+C15</f>
        <v>4.017489440211888</v>
      </c>
      <c r="D16" t="s">
        <v>25</v>
      </c>
      <c r="F16" s="1">
        <f>(F13*F12*F14*SQRT(F4/F10))+F15</f>
        <v>7.728645310607618</v>
      </c>
    </row>
    <row r="17" spans="1:6" ht="12.75">
      <c r="A17" t="s">
        <v>4</v>
      </c>
      <c r="C17" s="8">
        <v>10</v>
      </c>
      <c r="D17" t="s">
        <v>25</v>
      </c>
      <c r="F17" s="8">
        <v>10</v>
      </c>
    </row>
    <row r="19" ht="12.75">
      <c r="A19" t="s">
        <v>32</v>
      </c>
    </row>
    <row r="20" ht="12.75">
      <c r="A20" t="s">
        <v>33</v>
      </c>
    </row>
  </sheetData>
  <printOptions/>
  <pageMargins left="0.2" right="0.19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11.421875" defaultRowHeight="12.75"/>
  <cols>
    <col min="1" max="1" width="77.28125" style="0" bestFit="1" customWidth="1"/>
    <col min="2" max="2" width="5.8515625" style="0" bestFit="1" customWidth="1"/>
    <col min="3" max="3" width="8.57421875" style="0" bestFit="1" customWidth="1"/>
    <col min="4" max="4" width="6.7109375" style="0" bestFit="1" customWidth="1"/>
    <col min="5" max="5" width="12.7109375" style="0" bestFit="1" customWidth="1"/>
  </cols>
  <sheetData>
    <row r="1" ht="18">
      <c r="A1" s="2" t="s">
        <v>130</v>
      </c>
    </row>
    <row r="2" spans="1:5" ht="12.75">
      <c r="A2" s="3" t="s">
        <v>47</v>
      </c>
      <c r="B2" s="3" t="s">
        <v>46</v>
      </c>
      <c r="C2" s="3" t="s">
        <v>45</v>
      </c>
      <c r="D2" s="3" t="s">
        <v>44</v>
      </c>
      <c r="E2" s="3" t="s">
        <v>43</v>
      </c>
    </row>
    <row r="3" spans="1:3" ht="12.75">
      <c r="A3" t="s">
        <v>7</v>
      </c>
      <c r="C3" s="15"/>
    </row>
    <row r="4" spans="1:4" ht="14.25">
      <c r="A4" t="s">
        <v>80</v>
      </c>
      <c r="B4" t="s">
        <v>13</v>
      </c>
      <c r="C4" s="15">
        <v>195</v>
      </c>
      <c r="D4" t="s">
        <v>6</v>
      </c>
    </row>
    <row r="5" spans="1:4" ht="14.25">
      <c r="A5" t="s">
        <v>81</v>
      </c>
      <c r="B5" t="s">
        <v>13</v>
      </c>
      <c r="C5" s="15">
        <v>195</v>
      </c>
      <c r="D5" t="s">
        <v>6</v>
      </c>
    </row>
    <row r="6" spans="1:4" ht="14.25">
      <c r="A6" t="s">
        <v>82</v>
      </c>
      <c r="B6" t="s">
        <v>14</v>
      </c>
      <c r="C6" s="15">
        <v>130</v>
      </c>
      <c r="D6" t="s">
        <v>6</v>
      </c>
    </row>
    <row r="7" spans="1:4" ht="14.25">
      <c r="A7" t="s">
        <v>119</v>
      </c>
      <c r="B7" t="s">
        <v>83</v>
      </c>
      <c r="C7" s="15">
        <v>130</v>
      </c>
      <c r="D7" t="s">
        <v>6</v>
      </c>
    </row>
    <row r="8" spans="1:4" ht="14.25">
      <c r="A8" t="s">
        <v>0</v>
      </c>
      <c r="B8" t="s">
        <v>5</v>
      </c>
      <c r="C8" s="16">
        <v>1</v>
      </c>
      <c r="D8" t="s">
        <v>6</v>
      </c>
    </row>
    <row r="9" spans="1:4" ht="12.75">
      <c r="A9" t="s">
        <v>120</v>
      </c>
      <c r="B9" t="s">
        <v>18</v>
      </c>
      <c r="C9" s="15">
        <v>317</v>
      </c>
      <c r="D9" t="s">
        <v>25</v>
      </c>
    </row>
    <row r="10" spans="1:4" ht="12.75">
      <c r="A10" t="s">
        <v>86</v>
      </c>
      <c r="B10" t="s">
        <v>84</v>
      </c>
      <c r="C10" s="1">
        <f>(C8*C9)/(C6-0.5*C8)</f>
        <v>2.447876447876448</v>
      </c>
      <c r="D10" t="s">
        <v>25</v>
      </c>
    </row>
    <row r="11" spans="1:4" ht="12.75">
      <c r="A11" t="s">
        <v>87</v>
      </c>
      <c r="B11" t="s">
        <v>85</v>
      </c>
      <c r="C11" s="17">
        <v>6</v>
      </c>
      <c r="D11" t="s">
        <v>25</v>
      </c>
    </row>
    <row r="12" spans="1:4" ht="12.75">
      <c r="A12" t="s">
        <v>88</v>
      </c>
      <c r="B12" t="s">
        <v>52</v>
      </c>
      <c r="C12" s="1">
        <f>2*C9+C11</f>
        <v>640</v>
      </c>
      <c r="D12" t="s">
        <v>25</v>
      </c>
    </row>
    <row r="13" spans="1:4" ht="12.75">
      <c r="A13" t="s">
        <v>89</v>
      </c>
      <c r="B13" t="s">
        <v>58</v>
      </c>
      <c r="C13" s="1">
        <f>SQRT(C12*C11)</f>
        <v>61.96773353931867</v>
      </c>
      <c r="D13" t="s">
        <v>25</v>
      </c>
    </row>
    <row r="14" spans="1:4" ht="12.75">
      <c r="A14" t="s">
        <v>90</v>
      </c>
      <c r="B14" t="s">
        <v>107</v>
      </c>
      <c r="C14" s="15"/>
      <c r="D14" t="s">
        <v>25</v>
      </c>
    </row>
    <row r="15" spans="1:4" ht="12.75">
      <c r="A15" t="s">
        <v>108</v>
      </c>
      <c r="B15" t="s">
        <v>31</v>
      </c>
      <c r="C15" s="17"/>
      <c r="D15" t="s">
        <v>25</v>
      </c>
    </row>
    <row r="16" spans="1:4" ht="12.75">
      <c r="A16" t="s">
        <v>93</v>
      </c>
      <c r="B16" t="s">
        <v>91</v>
      </c>
      <c r="C16" s="1">
        <f>C14-C15*2</f>
        <v>0</v>
      </c>
      <c r="D16" t="s">
        <v>25</v>
      </c>
    </row>
    <row r="17" spans="1:4" ht="12.75">
      <c r="A17" t="s">
        <v>109</v>
      </c>
      <c r="B17" t="s">
        <v>92</v>
      </c>
      <c r="C17" s="1">
        <f>(C8*C16)/(2*C7-C8)</f>
        <v>0</v>
      </c>
      <c r="D17" t="s">
        <v>25</v>
      </c>
    </row>
    <row r="18" spans="1:4" ht="12.75">
      <c r="A18" t="s">
        <v>95</v>
      </c>
      <c r="B18" t="s">
        <v>94</v>
      </c>
      <c r="C18" s="1">
        <f>C16+C15</f>
        <v>0</v>
      </c>
      <c r="D18" t="s">
        <v>25</v>
      </c>
    </row>
    <row r="19" spans="1:4" ht="12.75">
      <c r="A19" t="s">
        <v>110</v>
      </c>
      <c r="B19" t="s">
        <v>104</v>
      </c>
      <c r="C19" s="1">
        <f>SQRT(C18*C15)</f>
        <v>0</v>
      </c>
      <c r="D19" t="s">
        <v>25</v>
      </c>
    </row>
    <row r="20" spans="1:4" ht="12.75">
      <c r="A20" t="s">
        <v>111</v>
      </c>
      <c r="B20" t="s">
        <v>105</v>
      </c>
      <c r="C20" s="1">
        <f>C16+2*C15</f>
        <v>0</v>
      </c>
      <c r="D20" t="s">
        <v>25</v>
      </c>
    </row>
    <row r="21" spans="1:4" ht="12.75">
      <c r="A21" t="s">
        <v>96</v>
      </c>
      <c r="B21" t="s">
        <v>106</v>
      </c>
      <c r="C21" s="17"/>
      <c r="D21" t="s">
        <v>25</v>
      </c>
    </row>
    <row r="22" spans="1:4" ht="12.75">
      <c r="A22" t="s">
        <v>112</v>
      </c>
      <c r="B22" t="s">
        <v>97</v>
      </c>
      <c r="C22" s="17"/>
      <c r="D22" t="s">
        <v>25</v>
      </c>
    </row>
    <row r="23" spans="1:4" ht="14.25">
      <c r="A23" t="s">
        <v>123</v>
      </c>
      <c r="B23" t="s">
        <v>98</v>
      </c>
      <c r="C23" s="12">
        <f>(C20+2*C17)*C10</f>
        <v>0</v>
      </c>
      <c r="D23" t="s">
        <v>121</v>
      </c>
    </row>
    <row r="24" spans="1:3" ht="12.75">
      <c r="A24" t="s">
        <v>101</v>
      </c>
      <c r="B24" t="s">
        <v>99</v>
      </c>
      <c r="C24" s="15"/>
    </row>
    <row r="25" spans="1:3" ht="12.75">
      <c r="A25" t="s">
        <v>102</v>
      </c>
      <c r="B25" t="s">
        <v>100</v>
      </c>
      <c r="C25" s="15"/>
    </row>
    <row r="26" spans="1:4" ht="14.25">
      <c r="A26" t="s">
        <v>124</v>
      </c>
      <c r="B26" t="s">
        <v>63</v>
      </c>
      <c r="C26" s="1">
        <f>2*(C13+C15-C17)*(C11-C10-C24)</f>
        <v>440.2340915534608</v>
      </c>
      <c r="D26" t="s">
        <v>121</v>
      </c>
    </row>
    <row r="27" spans="1:4" ht="14.25">
      <c r="A27" t="s">
        <v>125</v>
      </c>
      <c r="B27" t="s">
        <v>30</v>
      </c>
      <c r="C27" s="1">
        <f>2*(C19+C22)*(C15-C17-C25)</f>
        <v>0</v>
      </c>
      <c r="D27" t="s">
        <v>121</v>
      </c>
    </row>
    <row r="28" spans="1:4" ht="12.75">
      <c r="A28" t="s">
        <v>103</v>
      </c>
      <c r="B28" t="s">
        <v>113</v>
      </c>
      <c r="C28" s="15"/>
      <c r="D28" t="s">
        <v>25</v>
      </c>
    </row>
    <row r="29" spans="1:4" ht="14.25">
      <c r="A29" t="s">
        <v>126</v>
      </c>
      <c r="B29" t="s">
        <v>114</v>
      </c>
      <c r="C29" s="1">
        <f>2*C28*(C15-C25)</f>
        <v>0</v>
      </c>
      <c r="D29" t="s">
        <v>121</v>
      </c>
    </row>
    <row r="30" spans="1:4" ht="14.25">
      <c r="A30" t="s">
        <v>127</v>
      </c>
      <c r="B30" t="s">
        <v>50</v>
      </c>
      <c r="C30" s="1">
        <f>C22*(C21-C16-2*(C15-C25))</f>
        <v>0</v>
      </c>
      <c r="D30" t="s">
        <v>121</v>
      </c>
    </row>
    <row r="31" spans="1:4" ht="14.25">
      <c r="A31" t="s">
        <v>128</v>
      </c>
      <c r="B31" t="s">
        <v>115</v>
      </c>
      <c r="C31" s="17"/>
      <c r="D31" t="s">
        <v>121</v>
      </c>
    </row>
    <row r="32" spans="1:5" ht="14.25">
      <c r="A32" t="s">
        <v>117</v>
      </c>
      <c r="B32" t="s">
        <v>116</v>
      </c>
      <c r="C32" s="12">
        <f>+C26+C27+C29+0.7*C30+C31</f>
        <v>440.2340915534608</v>
      </c>
      <c r="D32" t="s">
        <v>6</v>
      </c>
      <c r="E32" t="s">
        <v>75</v>
      </c>
    </row>
    <row r="33" spans="1:4" ht="12.75">
      <c r="A33" t="s">
        <v>118</v>
      </c>
      <c r="B33" t="s">
        <v>122</v>
      </c>
      <c r="C33" s="19" t="str">
        <f>IF(C32&gt;C23,"OK","changer les valeurs")</f>
        <v>OK</v>
      </c>
      <c r="D33" t="s">
        <v>25</v>
      </c>
    </row>
    <row r="35" ht="12.75">
      <c r="A35" t="s">
        <v>79</v>
      </c>
    </row>
  </sheetData>
  <printOptions/>
  <pageMargins left="0.16" right="0.16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11.421875" defaultRowHeight="12.75"/>
  <cols>
    <col min="1" max="1" width="77.28125" style="0" bestFit="1" customWidth="1"/>
    <col min="2" max="2" width="5.8515625" style="0" bestFit="1" customWidth="1"/>
    <col min="3" max="3" width="8.57421875" style="0" bestFit="1" customWidth="1"/>
    <col min="4" max="4" width="6.7109375" style="0" bestFit="1" customWidth="1"/>
    <col min="5" max="5" width="12.7109375" style="0" bestFit="1" customWidth="1"/>
  </cols>
  <sheetData>
    <row r="1" ht="18">
      <c r="A1" s="2" t="s">
        <v>150</v>
      </c>
    </row>
    <row r="2" spans="1:6" ht="12.75">
      <c r="A2" s="3" t="s">
        <v>47</v>
      </c>
      <c r="B2" s="3" t="s">
        <v>46</v>
      </c>
      <c r="C2" s="3" t="s">
        <v>45</v>
      </c>
      <c r="D2" s="3" t="s">
        <v>44</v>
      </c>
      <c r="E2" s="3" t="s">
        <v>43</v>
      </c>
      <c r="F2" s="3" t="s">
        <v>139</v>
      </c>
    </row>
    <row r="3" spans="1:6" ht="12.75">
      <c r="A3" t="s">
        <v>7</v>
      </c>
      <c r="C3" s="16"/>
      <c r="F3" s="16"/>
    </row>
    <row r="4" spans="1:6" ht="14.25">
      <c r="A4" t="s">
        <v>80</v>
      </c>
      <c r="B4" t="s">
        <v>13</v>
      </c>
      <c r="C4" s="15">
        <v>195</v>
      </c>
      <c r="D4" t="s">
        <v>6</v>
      </c>
      <c r="F4" s="15">
        <v>195</v>
      </c>
    </row>
    <row r="5" spans="1:6" ht="14.25">
      <c r="A5" t="s">
        <v>81</v>
      </c>
      <c r="B5" t="s">
        <v>13</v>
      </c>
      <c r="C5" s="15">
        <v>188</v>
      </c>
      <c r="D5" t="s">
        <v>6</v>
      </c>
      <c r="F5" s="15">
        <v>188</v>
      </c>
    </row>
    <row r="6" spans="1:6" ht="14.25">
      <c r="A6" t="s">
        <v>82</v>
      </c>
      <c r="B6" t="s">
        <v>14</v>
      </c>
      <c r="C6" s="15">
        <v>130</v>
      </c>
      <c r="D6" t="s">
        <v>6</v>
      </c>
      <c r="F6" s="15">
        <v>130</v>
      </c>
    </row>
    <row r="7" spans="1:6" ht="14.25">
      <c r="A7" t="s">
        <v>119</v>
      </c>
      <c r="B7" t="s">
        <v>83</v>
      </c>
      <c r="C7" s="15">
        <v>125.33</v>
      </c>
      <c r="D7" t="s">
        <v>6</v>
      </c>
      <c r="F7" s="15">
        <v>125.33</v>
      </c>
    </row>
    <row r="8" spans="1:6" ht="14.25">
      <c r="A8" t="s">
        <v>0</v>
      </c>
      <c r="B8" t="s">
        <v>5</v>
      </c>
      <c r="C8" s="16">
        <v>1</v>
      </c>
      <c r="D8" t="s">
        <v>6</v>
      </c>
      <c r="F8" s="16">
        <v>1</v>
      </c>
    </row>
    <row r="9" spans="1:6" ht="12.75">
      <c r="A9" t="s">
        <v>120</v>
      </c>
      <c r="B9" t="s">
        <v>18</v>
      </c>
      <c r="C9" s="15">
        <v>317</v>
      </c>
      <c r="D9" t="s">
        <v>25</v>
      </c>
      <c r="F9" s="15">
        <v>317</v>
      </c>
    </row>
    <row r="10" spans="1:6" ht="12.75">
      <c r="A10" t="s">
        <v>86</v>
      </c>
      <c r="B10" t="s">
        <v>84</v>
      </c>
      <c r="C10" s="1">
        <f>(C8*C9)/(C6-0.5*C8)</f>
        <v>2.447876447876448</v>
      </c>
      <c r="D10" t="s">
        <v>25</v>
      </c>
      <c r="F10" s="1">
        <f>(F8*F9)/(F6-0.5*F8)</f>
        <v>2.447876447876448</v>
      </c>
    </row>
    <row r="11" spans="1:6" ht="12.75">
      <c r="A11" t="s">
        <v>87</v>
      </c>
      <c r="B11" t="s">
        <v>85</v>
      </c>
      <c r="C11" s="13">
        <v>6</v>
      </c>
      <c r="D11" t="s">
        <v>25</v>
      </c>
      <c r="F11" s="13">
        <v>6</v>
      </c>
    </row>
    <row r="12" spans="1:6" ht="12.75">
      <c r="A12" t="s">
        <v>88</v>
      </c>
      <c r="B12" t="s">
        <v>52</v>
      </c>
      <c r="C12" s="1">
        <f>2*C9+C11</f>
        <v>640</v>
      </c>
      <c r="D12" t="s">
        <v>25</v>
      </c>
      <c r="F12" s="1">
        <f>2*F9+F11</f>
        <v>640</v>
      </c>
    </row>
    <row r="13" spans="1:6" ht="12.75">
      <c r="A13" t="s">
        <v>89</v>
      </c>
      <c r="B13" t="s">
        <v>58</v>
      </c>
      <c r="C13" s="1">
        <f>SQRT(C12*C11)</f>
        <v>61.96773353931867</v>
      </c>
      <c r="D13" t="s">
        <v>25</v>
      </c>
      <c r="F13" s="1">
        <f>SQRT(F12*F11)</f>
        <v>61.96773353931867</v>
      </c>
    </row>
    <row r="14" spans="1:6" ht="12.75">
      <c r="A14" t="s">
        <v>90</v>
      </c>
      <c r="B14" t="s">
        <v>107</v>
      </c>
      <c r="C14" s="11">
        <v>33.4</v>
      </c>
      <c r="D14" t="s">
        <v>25</v>
      </c>
      <c r="F14" s="11">
        <v>26.9</v>
      </c>
    </row>
    <row r="15" spans="1:6" ht="12.75">
      <c r="A15" t="s">
        <v>108</v>
      </c>
      <c r="B15" t="s">
        <v>31</v>
      </c>
      <c r="C15" s="11">
        <v>2.77</v>
      </c>
      <c r="D15" t="s">
        <v>25</v>
      </c>
      <c r="F15" s="13">
        <v>4</v>
      </c>
    </row>
    <row r="16" spans="1:6" ht="12.75">
      <c r="A16" t="s">
        <v>93</v>
      </c>
      <c r="B16" t="s">
        <v>91</v>
      </c>
      <c r="C16" s="1">
        <f>C14-C15*2</f>
        <v>27.86</v>
      </c>
      <c r="D16" t="s">
        <v>25</v>
      </c>
      <c r="F16" s="1">
        <f>F14-F15*2</f>
        <v>18.9</v>
      </c>
    </row>
    <row r="17" spans="1:6" ht="12.75">
      <c r="A17" t="s">
        <v>109</v>
      </c>
      <c r="B17" t="s">
        <v>92</v>
      </c>
      <c r="C17" s="1">
        <f>(C8*C16)/(2*C7-C8)</f>
        <v>0.11159176480012817</v>
      </c>
      <c r="D17" t="s">
        <v>25</v>
      </c>
      <c r="F17" s="1">
        <f>(F8*F16)/(2*F7-F8)</f>
        <v>0.07570295602018745</v>
      </c>
    </row>
    <row r="18" spans="1:6" ht="12.75">
      <c r="A18" t="s">
        <v>95</v>
      </c>
      <c r="B18" t="s">
        <v>94</v>
      </c>
      <c r="C18" s="1">
        <f>C16+C15</f>
        <v>30.63</v>
      </c>
      <c r="D18" t="s">
        <v>25</v>
      </c>
      <c r="F18" s="1">
        <f>F16+F15</f>
        <v>22.9</v>
      </c>
    </row>
    <row r="19" spans="1:6" ht="12.75">
      <c r="A19" t="s">
        <v>110</v>
      </c>
      <c r="B19" t="s">
        <v>104</v>
      </c>
      <c r="C19" s="1">
        <f>SQRT(C18*C15)</f>
        <v>9.211139994593504</v>
      </c>
      <c r="D19" t="s">
        <v>25</v>
      </c>
      <c r="F19" s="1">
        <f>SQRT(F18*F15)</f>
        <v>9.57078889120432</v>
      </c>
    </row>
    <row r="20" spans="1:6" ht="12.75">
      <c r="A20" t="s">
        <v>111</v>
      </c>
      <c r="B20" t="s">
        <v>105</v>
      </c>
      <c r="C20" s="1">
        <f>C16+2*C15</f>
        <v>33.4</v>
      </c>
      <c r="D20" t="s">
        <v>25</v>
      </c>
      <c r="F20" s="1">
        <f>F16+2*F15</f>
        <v>26.9</v>
      </c>
    </row>
    <row r="21" spans="1:6" ht="12.75">
      <c r="A21" t="s">
        <v>96</v>
      </c>
      <c r="B21" t="s">
        <v>106</v>
      </c>
      <c r="C21" s="13">
        <v>0</v>
      </c>
      <c r="D21" t="s">
        <v>25</v>
      </c>
      <c r="F21" s="13">
        <v>0</v>
      </c>
    </row>
    <row r="22" spans="1:6" ht="12.75">
      <c r="A22" t="s">
        <v>112</v>
      </c>
      <c r="B22" t="s">
        <v>97</v>
      </c>
      <c r="C22" s="13">
        <v>0</v>
      </c>
      <c r="D22" t="s">
        <v>25</v>
      </c>
      <c r="F22" s="13">
        <v>0</v>
      </c>
    </row>
    <row r="23" spans="1:6" ht="14.25">
      <c r="A23" t="s">
        <v>152</v>
      </c>
      <c r="B23" t="s">
        <v>98</v>
      </c>
      <c r="C23" s="12">
        <f>(C20+2*C17)*C10</f>
        <v>82.30539906473575</v>
      </c>
      <c r="D23" t="s">
        <v>121</v>
      </c>
      <c r="F23" s="12">
        <f>(F20+2*F17)*F10</f>
        <v>66.21849941402932</v>
      </c>
    </row>
    <row r="24" spans="1:6" ht="12.75">
      <c r="A24" t="s">
        <v>101</v>
      </c>
      <c r="B24" t="s">
        <v>99</v>
      </c>
      <c r="C24" s="11">
        <v>0</v>
      </c>
      <c r="F24" s="11">
        <v>0</v>
      </c>
    </row>
    <row r="25" spans="1:6" ht="12.75">
      <c r="A25" t="s">
        <v>102</v>
      </c>
      <c r="B25" t="s">
        <v>100</v>
      </c>
      <c r="C25" s="11">
        <v>0</v>
      </c>
      <c r="F25" s="11">
        <v>0</v>
      </c>
    </row>
    <row r="26" spans="1:6" ht="14.25">
      <c r="A26" t="s">
        <v>153</v>
      </c>
      <c r="B26" t="s">
        <v>63</v>
      </c>
      <c r="C26" s="1">
        <f>2*(C13+C15-C17)*(C11-C10-C24)</f>
        <v>459.12008056028617</v>
      </c>
      <c r="D26" t="s">
        <v>121</v>
      </c>
      <c r="F26" s="1">
        <f>2*(F13+F15-F17)*(F11-F10-F24)</f>
        <v>468.11326746435986</v>
      </c>
    </row>
    <row r="27" spans="1:6" ht="14.25">
      <c r="A27" t="s">
        <v>154</v>
      </c>
      <c r="B27" t="s">
        <v>30</v>
      </c>
      <c r="C27" s="1">
        <f>2*(C19+C22)*(C15-C17-C25)</f>
        <v>48.973940834412545</v>
      </c>
      <c r="D27" t="s">
        <v>121</v>
      </c>
      <c r="F27" s="1">
        <f>2*(F19+F22)*(F15-F17-F25)</f>
        <v>75.11723710861587</v>
      </c>
    </row>
    <row r="28" spans="1:6" ht="12.75">
      <c r="A28" t="s">
        <v>103</v>
      </c>
      <c r="B28" t="s">
        <v>113</v>
      </c>
      <c r="C28" s="11">
        <v>9.57</v>
      </c>
      <c r="D28" t="s">
        <v>25</v>
      </c>
      <c r="F28" s="11">
        <v>9.57</v>
      </c>
    </row>
    <row r="29" spans="1:6" ht="14.25">
      <c r="A29" t="s">
        <v>155</v>
      </c>
      <c r="B29" t="s">
        <v>114</v>
      </c>
      <c r="C29" s="1">
        <f>2*C28*(C15-C25)</f>
        <v>53.0178</v>
      </c>
      <c r="D29" t="s">
        <v>121</v>
      </c>
      <c r="F29" s="1">
        <f>2*F28*(F15-F25)</f>
        <v>76.56</v>
      </c>
    </row>
    <row r="30" spans="1:6" ht="14.25">
      <c r="A30" t="s">
        <v>156</v>
      </c>
      <c r="B30" t="s">
        <v>50</v>
      </c>
      <c r="C30" s="1">
        <f>C22*(C21-C16-2*(C15-C25))</f>
        <v>0</v>
      </c>
      <c r="D30" t="s">
        <v>121</v>
      </c>
      <c r="F30" s="1">
        <f>F22*(F21-F16-2*(F15-F25))</f>
        <v>0</v>
      </c>
    </row>
    <row r="31" spans="1:6" ht="14.25">
      <c r="A31" t="s">
        <v>157</v>
      </c>
      <c r="B31" t="s">
        <v>115</v>
      </c>
      <c r="C31" s="13">
        <v>100</v>
      </c>
      <c r="D31" t="s">
        <v>121</v>
      </c>
      <c r="F31" s="13">
        <v>100</v>
      </c>
    </row>
    <row r="32" spans="1:6" ht="14.25">
      <c r="A32" t="s">
        <v>117</v>
      </c>
      <c r="B32" t="s">
        <v>116</v>
      </c>
      <c r="C32" s="12">
        <f>+C26+C27+C29+0.7*C30+C31</f>
        <v>661.1118213946987</v>
      </c>
      <c r="D32" t="s">
        <v>6</v>
      </c>
      <c r="E32" t="s">
        <v>75</v>
      </c>
      <c r="F32" s="12">
        <f>+F26+F27+F29+0.7*F30+F31</f>
        <v>719.7905045729758</v>
      </c>
    </row>
    <row r="33" spans="1:6" ht="12.75">
      <c r="A33" t="s">
        <v>151</v>
      </c>
      <c r="C33" s="14" t="str">
        <f>IF(C32&gt;C23,"OK","changer les valeurs")</f>
        <v>OK</v>
      </c>
      <c r="D33" t="s">
        <v>25</v>
      </c>
      <c r="F33" s="14" t="str">
        <f>IF(F32&gt;F23,"OK","changer les valeurs")</f>
        <v>OK</v>
      </c>
    </row>
    <row r="35" ht="12.75">
      <c r="A35" t="s">
        <v>79</v>
      </c>
    </row>
  </sheetData>
  <printOptions/>
  <pageMargins left="0.16" right="0.19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André Dubout</dc:creator>
  <cp:keywords/>
  <dc:description/>
  <cp:lastModifiedBy> </cp:lastModifiedBy>
  <cp:lastPrinted>2009-04-13T20:31:18Z</cp:lastPrinted>
  <dcterms:created xsi:type="dcterms:W3CDTF">2009-03-06T07:26:57Z</dcterms:created>
  <dcterms:modified xsi:type="dcterms:W3CDTF">2009-10-16T05:36:25Z</dcterms:modified>
  <cp:category/>
  <cp:version/>
  <cp:contentType/>
  <cp:contentStatus/>
</cp:coreProperties>
</file>